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<sst xmlns="http://schemas.openxmlformats.org/spreadsheetml/2006/main" count="85" uniqueCount="76">
  <si>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Base gravable</t>
  </si>
  <si>
    <t>PTU</t>
  </si>
  <si>
    <t>en adelante</t>
  </si>
  <si>
    <t xml:space="preserve"> </t>
  </si>
  <si>
    <t>RNM</t>
  </si>
  <si>
    <t>Renta Efectiva Mensual</t>
  </si>
  <si>
    <t>Construcciones</t>
  </si>
  <si>
    <t>Terreno</t>
  </si>
  <si>
    <t>I. Predial</t>
  </si>
  <si>
    <t>Mantenimiento</t>
  </si>
  <si>
    <t>Energía eléctrica</t>
  </si>
  <si>
    <t>Administración</t>
  </si>
  <si>
    <t>Seguro</t>
  </si>
  <si>
    <t>Depreciación 5/12</t>
  </si>
  <si>
    <t>Agua</t>
  </si>
  <si>
    <t>Total deducciones</t>
  </si>
  <si>
    <t>Deducción "ciega"</t>
  </si>
  <si>
    <t>Se escoge la mayor</t>
  </si>
  <si>
    <t>Impuesto a pagar</t>
  </si>
  <si>
    <t>Renta Mensual</t>
  </si>
  <si>
    <t>Vacíos</t>
  </si>
  <si>
    <t xml:space="preserve">Base gravable </t>
  </si>
  <si>
    <t>Límite inferior</t>
  </si>
  <si>
    <t>Límite superior</t>
  </si>
  <si>
    <t>Cuota fija</t>
  </si>
  <si>
    <t>Porcentaje sobre el excedente del límite inferior</t>
  </si>
  <si>
    <t>%s/ exced.</t>
  </si>
  <si>
    <t>Límite infer.</t>
  </si>
  <si>
    <t>REA</t>
  </si>
  <si>
    <t>Propietario</t>
  </si>
  <si>
    <t>Impuesto predial</t>
  </si>
  <si>
    <t xml:space="preserve">Mantenimiento   1 %  al año del  valor de las construcciones,  instalaciones  especia- </t>
  </si>
  <si>
    <t>les, elementos accesorios  y obras complementarias</t>
  </si>
  <si>
    <t>% Gastos sin incluir vacíos</t>
  </si>
  <si>
    <t>Persona física</t>
  </si>
  <si>
    <t>Persona moral</t>
  </si>
  <si>
    <t xml:space="preserve">Hay  diferencias entre el  Impuesto  Sobre  la  Renta (ISR)  que se </t>
  </si>
  <si>
    <t>paga  en un caso y otro.  Lo  mismo puede  decirse de la Participación</t>
  </si>
  <si>
    <t>de los Trabajadores en las Utilidades (PTU), cuando aplica.</t>
  </si>
  <si>
    <t>al año en que el inmueble esta desocupado.</t>
  </si>
  <si>
    <t xml:space="preserve">Los vacíos en  C5 se expresan en quincenas  </t>
  </si>
  <si>
    <t>%  ISR sobre RNM</t>
  </si>
  <si>
    <t xml:space="preserve">PTU   10 %  de la base gravable, si  la  REA,  renta efectiva anual es  mayor  que </t>
  </si>
  <si>
    <t>Prima mensual del seguro,  0.0001897  del valor  de  las  construcciones.</t>
  </si>
  <si>
    <t>Si  por alguna razón quisiera saber cuáles serían los impuestos</t>
  </si>
  <si>
    <t>como monumentos arqueológicos, artísticos, históricos o patrimoniales.</t>
  </si>
  <si>
    <t>Estimación aproximada de  los gastos de un inmueble en arrendamiento</t>
  </si>
  <si>
    <t>Datos requeridos</t>
  </si>
  <si>
    <t>Resultados obtenidos</t>
  </si>
  <si>
    <t xml:space="preserve">a pagar en uno y otro caso puede saberlo observando las columnas </t>
  </si>
  <si>
    <t>con los gastos que corresponden a cada tipo de propietario.</t>
  </si>
  <si>
    <t>Deducción mayor</t>
  </si>
  <si>
    <t>Gastos aplicables:</t>
  </si>
  <si>
    <t>Clasificación fiscal del propietario del inmueble: Persona física o persona moral</t>
  </si>
  <si>
    <t>Personas morales:</t>
  </si>
  <si>
    <t>Obras compl., inst. esp. y elem. accesorios</t>
  </si>
  <si>
    <t>Base para el cálculo de PTU</t>
  </si>
  <si>
    <t>Edad</t>
  </si>
  <si>
    <t>Aplica los primeros 20 años en el primer caso y los primeros 10 años en el segundo</t>
  </si>
  <si>
    <r>
      <t>Depreciación fiscal</t>
    </r>
    <r>
      <rPr>
        <sz val="10"/>
        <rFont val="Arial"/>
        <family val="0"/>
      </rPr>
      <t xml:space="preserve">  5 %  anual del valor de las mejoras .  10%  para inmuebles declarados</t>
    </r>
  </si>
  <si>
    <t>Administración  10 %  de la renta efectiva mensual.</t>
  </si>
  <si>
    <t>Personas físicas</t>
  </si>
  <si>
    <t>PUE</t>
  </si>
  <si>
    <r>
      <t xml:space="preserve">Escriba en K11  </t>
    </r>
    <r>
      <rPr>
        <b/>
        <sz val="10"/>
        <color indexed="10"/>
        <rFont val="Arial"/>
        <family val="2"/>
      </rPr>
      <t>PUE</t>
    </r>
    <r>
      <rPr>
        <b/>
        <sz val="10"/>
        <rFont val="Arial"/>
        <family val="2"/>
      </rPr>
      <t xml:space="preserve">,  si  el Predio es Urbano Edificado, </t>
    </r>
    <r>
      <rPr>
        <b/>
        <sz val="10"/>
        <color indexed="10"/>
        <rFont val="Arial"/>
        <family val="2"/>
      </rPr>
      <t>PU</t>
    </r>
    <r>
      <rPr>
        <b/>
        <sz val="10"/>
        <rFont val="Arial"/>
        <family val="2"/>
      </rPr>
      <t>, si es Urbano sin edificar</t>
    </r>
  </si>
  <si>
    <t>% Gastos, incluyendo vacíos</t>
  </si>
  <si>
    <t xml:space="preserve">ISR </t>
  </si>
  <si>
    <t>Base gravable= Utilidad antes de impuestos - PTU pagada, en su caso</t>
  </si>
  <si>
    <t xml:space="preserve">ISR = 0.30 x Base gravable </t>
  </si>
  <si>
    <t>Esta hoja  permite calcular los dos casos simultaneamente.</t>
  </si>
  <si>
    <t>Tabla del Artículo 106 de la Ley del Impuesto Sobre la Renta para el año 2019</t>
  </si>
  <si>
    <t>Predios urbanos edificados 1.53 al millar del valor del inueble</t>
  </si>
  <si>
    <t>Predios urbanos sin edificar 8.21 al millar del valor del inmueble</t>
  </si>
  <si>
    <t xml:space="preserve">De acuerdo con la Ley de ingresos del Municipio de Aguascalientes para el año 2019: </t>
  </si>
  <si>
    <t xml:space="preserve">En esta hoja se considera el valor del inmueble el 85% del Valor Físico </t>
  </si>
  <si>
    <t>Valor Físico</t>
  </si>
  <si>
    <t>REA, Renta Efectiva Anual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</si>
</sst>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_);\(&quot;$&quot;#,##0.00\)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00_-;\-* #,##0.000_-;_-* &quot;-&quot;???_-;_-@_-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0" fontId="1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43" fontId="0" fillId="0" borderId="0" xfId="47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/>
    </xf>
    <xf numFmtId="164" fontId="0" fillId="0" borderId="11" xfId="0" applyNumberFormat="1" applyFont="1" applyBorder="1" applyAlignment="1">
      <alignment horizontal="center"/>
    </xf>
    <xf numFmtId="10" fontId="0" fillId="0" borderId="11" xfId="53" applyNumberFormat="1" applyFont="1" applyFill="1" applyBorder="1" applyAlignment="1" applyProtection="1">
      <alignment/>
      <protection locked="0"/>
    </xf>
    <xf numFmtId="10" fontId="2" fillId="0" borderId="11" xfId="53" applyNumberFormat="1" applyFont="1" applyFill="1" applyBorder="1" applyAlignment="1" applyProtection="1">
      <alignment/>
      <protection locked="0"/>
    </xf>
    <xf numFmtId="10" fontId="0" fillId="0" borderId="11" xfId="53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43" fontId="0" fillId="0" borderId="11" xfId="0" applyNumberFormat="1" applyFont="1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0" fontId="2" fillId="0" borderId="0" xfId="53" applyNumberFormat="1" applyFont="1" applyFill="1" applyBorder="1" applyAlignment="1" applyProtection="1">
      <alignment/>
      <protection locked="0"/>
    </xf>
    <xf numFmtId="164" fontId="0" fillId="0" borderId="0" xfId="0" applyNumberFormat="1" applyFont="1" applyBorder="1" applyAlignment="1">
      <alignment horizontal="center"/>
    </xf>
    <xf numFmtId="43" fontId="2" fillId="0" borderId="0" xfId="47" applyFont="1" applyBorder="1" applyAlignment="1" applyProtection="1">
      <alignment horizontal="center"/>
      <protection/>
    </xf>
    <xf numFmtId="43" fontId="2" fillId="0" borderId="0" xfId="0" applyNumberFormat="1" applyFont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43" fontId="0" fillId="0" borderId="0" xfId="47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Border="1" applyAlignment="1">
      <alignment/>
    </xf>
    <xf numFmtId="10" fontId="0" fillId="0" borderId="0" xfId="53" applyNumberFormat="1" applyFont="1" applyFill="1" applyBorder="1" applyAlignment="1" applyProtection="1">
      <alignment/>
      <protection locked="0"/>
    </xf>
    <xf numFmtId="10" fontId="2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14" xfId="53" applyNumberFormat="1" applyFont="1" applyBorder="1" applyAlignment="1" applyProtection="1">
      <alignment/>
      <protection/>
    </xf>
    <xf numFmtId="4" fontId="1" fillId="0" borderId="15" xfId="0" applyNumberFormat="1" applyFont="1" applyBorder="1" applyAlignment="1" applyProtection="1">
      <alignment/>
      <protection/>
    </xf>
    <xf numFmtId="1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16" xfId="49" applyNumberFormat="1" applyFont="1" applyFill="1" applyBorder="1" applyAlignment="1" applyProtection="1">
      <alignment horizontal="right"/>
      <protection/>
    </xf>
    <xf numFmtId="10" fontId="0" fillId="0" borderId="16" xfId="53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 applyProtection="1">
      <alignment horizontal="justify"/>
      <protection/>
    </xf>
    <xf numFmtId="0" fontId="0" fillId="0" borderId="22" xfId="0" applyFont="1" applyBorder="1" applyAlignment="1" applyProtection="1">
      <alignment horizontal="justify"/>
      <protection/>
    </xf>
    <xf numFmtId="0" fontId="0" fillId="0" borderId="11" xfId="0" applyFont="1" applyBorder="1" applyAlignment="1" applyProtection="1">
      <alignment/>
      <protection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Border="1" applyAlignment="1" applyProtection="1">
      <alignment horizontal="justify"/>
      <protection/>
    </xf>
    <xf numFmtId="0" fontId="4" fillId="0" borderId="0" xfId="0" applyFont="1" applyAlignment="1">
      <alignment horizontal="justify"/>
    </xf>
    <xf numFmtId="164" fontId="0" fillId="0" borderId="24" xfId="49" applyNumberFormat="1" applyFont="1" applyFill="1" applyBorder="1" applyAlignment="1" applyProtection="1">
      <alignment horizontal="center"/>
      <protection/>
    </xf>
    <xf numFmtId="164" fontId="0" fillId="0" borderId="25" xfId="49" applyNumberFormat="1" applyFont="1" applyFill="1" applyBorder="1" applyAlignment="1" applyProtection="1">
      <alignment horizontal="center"/>
      <protection/>
    </xf>
    <xf numFmtId="164" fontId="0" fillId="0" borderId="24" xfId="49" applyNumberFormat="1" applyFont="1" applyFill="1" applyBorder="1" applyAlignment="1" applyProtection="1">
      <alignment horizontal="right"/>
      <protection/>
    </xf>
    <xf numFmtId="164" fontId="0" fillId="0" borderId="25" xfId="49" applyNumberFormat="1" applyFont="1" applyFill="1" applyBorder="1" applyAlignment="1" applyProtection="1">
      <alignment horizontal="right"/>
      <protection/>
    </xf>
    <xf numFmtId="10" fontId="0" fillId="0" borderId="24" xfId="53" applyNumberFormat="1" applyFont="1" applyFill="1" applyBorder="1" applyAlignment="1" applyProtection="1">
      <alignment horizontal="center"/>
      <protection/>
    </xf>
    <xf numFmtId="10" fontId="0" fillId="0" borderId="25" xfId="53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justify"/>
    </xf>
    <xf numFmtId="0" fontId="0" fillId="0" borderId="26" xfId="0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11.421875" defaultRowHeight="12.75"/>
  <cols>
    <col min="4" max="4" width="13.8515625" style="0" bestFit="1" customWidth="1"/>
    <col min="5" max="5" width="9.140625" style="0" customWidth="1"/>
    <col min="8" max="8" width="8.57421875" style="0" customWidth="1"/>
    <col min="9" max="9" width="13.57421875" style="0" customWidth="1"/>
    <col min="15" max="15" width="15.00390625" style="0" customWidth="1"/>
  </cols>
  <sheetData>
    <row r="2" ht="15.75">
      <c r="B2" s="36" t="s">
        <v>46</v>
      </c>
    </row>
    <row r="3" spans="3:7" ht="12.75">
      <c r="C3" s="29" t="s">
        <v>47</v>
      </c>
      <c r="G3" s="37" t="s">
        <v>48</v>
      </c>
    </row>
    <row r="4" spans="2:6" ht="12.75">
      <c r="B4" t="s">
        <v>19</v>
      </c>
      <c r="E4" s="86">
        <v>17200</v>
      </c>
      <c r="F4" s="87"/>
    </row>
    <row r="5" spans="2:11" ht="12.75">
      <c r="B5" t="s">
        <v>20</v>
      </c>
      <c r="C5" s="29">
        <v>1</v>
      </c>
      <c r="D5" s="33">
        <f>C5/24</f>
        <v>0.041666666666666664</v>
      </c>
      <c r="E5" s="81">
        <f>E4*D5</f>
        <v>716.6666666666666</v>
      </c>
      <c r="F5" s="82"/>
      <c r="G5" t="s">
        <v>28</v>
      </c>
      <c r="H5" s="81">
        <f>E6*12</f>
        <v>197800</v>
      </c>
      <c r="I5" s="82"/>
      <c r="K5" t="s">
        <v>75</v>
      </c>
    </row>
    <row r="6" spans="1:14" ht="12.75">
      <c r="A6" s="1"/>
      <c r="B6" s="85" t="s">
        <v>5</v>
      </c>
      <c r="C6" s="85"/>
      <c r="D6" s="85"/>
      <c r="E6" s="81">
        <f>E4-E5</f>
        <v>16483.333333333332</v>
      </c>
      <c r="F6" s="82"/>
      <c r="G6" s="1"/>
      <c r="H6" s="1"/>
      <c r="I6" s="1"/>
      <c r="J6" s="1"/>
      <c r="K6" s="26" t="s">
        <v>40</v>
      </c>
      <c r="L6" s="1"/>
      <c r="M6" s="1"/>
      <c r="N6" s="1"/>
    </row>
    <row r="7" spans="1:14" ht="12.75">
      <c r="A7" s="1"/>
      <c r="B7" s="85" t="s">
        <v>6</v>
      </c>
      <c r="C7" s="85"/>
      <c r="D7" s="85"/>
      <c r="E7" s="86">
        <v>1112787.26</v>
      </c>
      <c r="F7" s="87"/>
      <c r="G7" s="1" t="s">
        <v>7</v>
      </c>
      <c r="H7" s="86">
        <v>792000</v>
      </c>
      <c r="I7" s="87"/>
      <c r="J7" s="1"/>
      <c r="K7" s="26" t="s">
        <v>39</v>
      </c>
      <c r="L7" s="1"/>
      <c r="M7" s="1"/>
      <c r="N7" s="1"/>
    </row>
    <row r="8" spans="1:14" ht="12.75">
      <c r="A8" s="2"/>
      <c r="B8" s="85" t="s">
        <v>55</v>
      </c>
      <c r="C8" s="85"/>
      <c r="D8" s="85"/>
      <c r="E8" s="86">
        <v>52495.51</v>
      </c>
      <c r="F8" s="87"/>
      <c r="G8" s="66" t="s">
        <v>74</v>
      </c>
      <c r="H8" s="81">
        <f>H7+E7+E8</f>
        <v>1957282.77</v>
      </c>
      <c r="I8" s="82"/>
      <c r="J8" s="2"/>
      <c r="K8" s="2"/>
      <c r="L8" s="2"/>
      <c r="M8" s="2"/>
      <c r="N8" s="2"/>
    </row>
    <row r="9" spans="1:14" ht="12.75">
      <c r="A9" s="1"/>
      <c r="B9" s="85"/>
      <c r="C9" s="85"/>
      <c r="D9" s="85"/>
      <c r="E9" s="34"/>
      <c r="F9" s="26"/>
      <c r="G9" s="1"/>
      <c r="H9" s="1"/>
      <c r="I9" s="1"/>
      <c r="J9" s="1"/>
      <c r="K9" s="2"/>
      <c r="L9" s="1"/>
      <c r="M9" s="1"/>
      <c r="N9" s="1"/>
    </row>
    <row r="10" spans="1:14" ht="12.75">
      <c r="A10" s="2"/>
      <c r="B10" s="85" t="s">
        <v>57</v>
      </c>
      <c r="C10" s="85"/>
      <c r="D10" s="85"/>
      <c r="E10" s="26"/>
      <c r="F10" s="55">
        <v>0</v>
      </c>
      <c r="G10" s="24"/>
      <c r="H10" s="2"/>
      <c r="I10" s="2"/>
      <c r="J10" s="2"/>
      <c r="K10" s="2"/>
      <c r="L10" s="2"/>
      <c r="M10" s="2"/>
      <c r="N10" s="2"/>
    </row>
    <row r="11" spans="1:14" ht="12.75">
      <c r="A11" s="2"/>
      <c r="B11" s="83" t="s">
        <v>8</v>
      </c>
      <c r="C11" s="84"/>
      <c r="D11" s="31">
        <f>IF(K11="PUE",(0.00153*0.85*H8/12)/E6,IF(K11="PU",(0.00821*0.85*H8/12)/E6))</f>
        <v>0.012868787878589484</v>
      </c>
      <c r="E11" s="2"/>
      <c r="F11" s="2"/>
      <c r="G11" s="2"/>
      <c r="H11" s="23"/>
      <c r="I11" s="26" t="s">
        <v>30</v>
      </c>
      <c r="J11" s="2"/>
      <c r="K11" s="35" t="s">
        <v>62</v>
      </c>
      <c r="L11" s="2"/>
      <c r="M11" s="2"/>
      <c r="N11" s="2"/>
    </row>
    <row r="12" spans="1:14" ht="12.75">
      <c r="A12" s="2"/>
      <c r="B12" s="83" t="s">
        <v>14</v>
      </c>
      <c r="C12" s="84"/>
      <c r="D12" s="31">
        <v>0</v>
      </c>
      <c r="E12" s="2"/>
      <c r="F12" s="2"/>
      <c r="G12" s="2"/>
      <c r="H12" s="2"/>
      <c r="I12" s="1"/>
      <c r="J12" s="2"/>
      <c r="K12" s="2"/>
      <c r="L12" s="2"/>
      <c r="M12" s="2"/>
      <c r="N12" s="2"/>
    </row>
    <row r="13" spans="1:14" ht="12.75" customHeight="1">
      <c r="A13" s="2"/>
      <c r="B13" s="83" t="s">
        <v>9</v>
      </c>
      <c r="C13" s="84"/>
      <c r="D13" s="31">
        <f>(0.01*(E7+E8)/12)/E6</f>
        <v>0.058912172396359964</v>
      </c>
      <c r="E13" s="2"/>
      <c r="F13" s="2"/>
      <c r="G13" s="2"/>
      <c r="H13" s="2"/>
      <c r="I13" s="1" t="s">
        <v>72</v>
      </c>
      <c r="J13" s="2"/>
      <c r="K13" s="2"/>
      <c r="L13" s="2"/>
      <c r="M13" s="2"/>
      <c r="N13" s="2"/>
    </row>
    <row r="14" spans="1:14" ht="12.75" customHeight="1">
      <c r="A14" s="2"/>
      <c r="B14" s="83" t="s">
        <v>11</v>
      </c>
      <c r="C14" s="84"/>
      <c r="D14" s="31">
        <v>0.1</v>
      </c>
      <c r="E14" s="2"/>
      <c r="F14" s="2"/>
      <c r="G14" s="2"/>
      <c r="H14" s="2"/>
      <c r="I14" s="1" t="s">
        <v>70</v>
      </c>
      <c r="J14" s="2"/>
      <c r="K14" s="2"/>
      <c r="L14" s="2"/>
      <c r="M14" s="2"/>
      <c r="N14" s="2"/>
    </row>
    <row r="15" spans="1:14" ht="12.75" customHeight="1">
      <c r="A15" s="2"/>
      <c r="B15" s="83" t="s">
        <v>10</v>
      </c>
      <c r="C15" s="84"/>
      <c r="D15" s="31">
        <v>0</v>
      </c>
      <c r="E15" s="2"/>
      <c r="F15" s="2"/>
      <c r="G15" s="2"/>
      <c r="H15" s="2"/>
      <c r="I15" t="s">
        <v>71</v>
      </c>
      <c r="J15" s="2"/>
      <c r="K15" s="2"/>
      <c r="L15" s="2"/>
      <c r="M15" s="2"/>
      <c r="N15" s="2"/>
    </row>
    <row r="16" spans="1:14" ht="12.75" customHeight="1">
      <c r="A16" s="2"/>
      <c r="B16" s="72" t="s">
        <v>12</v>
      </c>
      <c r="C16" s="88"/>
      <c r="D16" s="31">
        <f>(0.0001897*E7)/E6</f>
        <v>0.012806617384550053</v>
      </c>
      <c r="E16" s="2"/>
      <c r="F16" s="2"/>
      <c r="G16" s="2"/>
      <c r="H16" s="2"/>
      <c r="I16" t="s">
        <v>73</v>
      </c>
      <c r="J16" s="2"/>
      <c r="K16" s="2"/>
      <c r="L16" s="2"/>
      <c r="M16" s="2"/>
      <c r="N16" s="2"/>
    </row>
    <row r="17" spans="1:14" ht="12.75" customHeight="1">
      <c r="A17" s="2"/>
      <c r="B17" s="72" t="s">
        <v>13</v>
      </c>
      <c r="C17" s="88"/>
      <c r="D17" s="31">
        <f>IF(F10&lt;21,(0.05*(E7+E8)/12)/E6,0)</f>
        <v>0.2945608619817998</v>
      </c>
      <c r="E17" s="32">
        <f>D17*(E6/E4)</f>
        <v>0.28228749273255815</v>
      </c>
      <c r="F17" s="2"/>
      <c r="G17" s="2"/>
      <c r="H17" s="2" t="s">
        <v>3</v>
      </c>
      <c r="J17" s="2"/>
      <c r="K17" s="2"/>
      <c r="L17" s="2"/>
      <c r="M17" s="2"/>
      <c r="N17" s="2"/>
    </row>
    <row r="18" spans="1:14" ht="12.75" customHeight="1">
      <c r="A18" s="3"/>
      <c r="B18" s="72" t="s">
        <v>15</v>
      </c>
      <c r="C18" s="88"/>
      <c r="D18" s="31">
        <f>SUM(D11:D17)</f>
        <v>0.4791484396412993</v>
      </c>
      <c r="E18" s="2"/>
      <c r="F18" s="2"/>
      <c r="G18" s="45"/>
      <c r="H18" s="45">
        <f>D18</f>
        <v>0.4791484396412993</v>
      </c>
      <c r="I18" s="26" t="s">
        <v>63</v>
      </c>
      <c r="J18" s="26"/>
      <c r="K18" s="26"/>
      <c r="L18" s="26"/>
      <c r="M18" s="26"/>
      <c r="N18" s="2"/>
    </row>
    <row r="19" spans="1:14" ht="12.75" customHeight="1">
      <c r="A19" s="3"/>
      <c r="B19" s="72" t="s">
        <v>16</v>
      </c>
      <c r="C19" s="88"/>
      <c r="D19" s="31">
        <f>35%+D11</f>
        <v>0.36286878787858945</v>
      </c>
      <c r="E19" s="89"/>
      <c r="F19" s="73"/>
      <c r="G19" s="2"/>
      <c r="H19" s="2"/>
      <c r="I19" s="64"/>
      <c r="J19" s="65"/>
      <c r="K19" s="65"/>
      <c r="L19" s="65"/>
      <c r="M19" s="65"/>
      <c r="N19" s="65"/>
    </row>
    <row r="20" spans="1:14" ht="12.75">
      <c r="A20" s="4"/>
      <c r="B20" s="2" t="s">
        <v>17</v>
      </c>
      <c r="C20" s="2"/>
      <c r="D20" s="25"/>
      <c r="E20" s="73"/>
      <c r="F20" s="73"/>
      <c r="G20" s="2"/>
      <c r="H20" s="2"/>
      <c r="I20" s="2"/>
      <c r="J20" s="2"/>
      <c r="K20" s="2"/>
      <c r="L20" s="2"/>
      <c r="M20" s="2"/>
      <c r="N20" s="2"/>
    </row>
    <row r="21" spans="1:14" ht="12.75">
      <c r="A21" s="51"/>
      <c r="B21" s="53" t="s">
        <v>51</v>
      </c>
      <c r="C21" s="1"/>
      <c r="D21" s="31">
        <f>MAX(D18,D19)</f>
        <v>0.4791484396412993</v>
      </c>
      <c r="E21" s="54">
        <f>MAX(D18,D19)*E4/E6</f>
        <v>0.49998098049526885</v>
      </c>
      <c r="F21" s="2"/>
      <c r="G21" s="2"/>
      <c r="H21" s="2"/>
      <c r="I21" s="2" t="s">
        <v>31</v>
      </c>
      <c r="J21" s="2"/>
      <c r="K21" s="2"/>
      <c r="L21" s="2"/>
      <c r="M21" s="2"/>
      <c r="N21" s="2"/>
    </row>
    <row r="22" spans="1:14" ht="12.75">
      <c r="A22" s="2"/>
      <c r="B22" s="2" t="s">
        <v>56</v>
      </c>
      <c r="C22" s="2"/>
      <c r="D22" s="5"/>
      <c r="E22" s="2"/>
      <c r="F22" s="5">
        <f>E6*(1-D21)</f>
        <v>8585.36988657925</v>
      </c>
      <c r="G22" s="46">
        <f>(1-H18)*E6</f>
        <v>8585.36988657925</v>
      </c>
      <c r="H22" s="2"/>
      <c r="I22" s="2"/>
      <c r="J22" s="2" t="s">
        <v>32</v>
      </c>
      <c r="K22" s="2"/>
      <c r="L22" s="2"/>
      <c r="M22" s="2"/>
      <c r="N22" s="2"/>
    </row>
    <row r="23" spans="1:14" ht="12.75">
      <c r="A23" s="2"/>
      <c r="B23" s="72" t="s">
        <v>0</v>
      </c>
      <c r="C23" s="88"/>
      <c r="D23" s="5"/>
      <c r="E23" s="2"/>
      <c r="F23" s="5">
        <f>F22-F37</f>
        <v>8585.36988657925</v>
      </c>
      <c r="G23" s="46">
        <f>G22-G37</f>
        <v>8585.36988657925</v>
      </c>
      <c r="H23" s="2"/>
      <c r="I23" s="2"/>
      <c r="J23" s="2"/>
      <c r="K23" s="2"/>
      <c r="L23" s="2"/>
      <c r="M23" s="2"/>
      <c r="N23" s="2"/>
    </row>
    <row r="24" spans="1:14" ht="12.75">
      <c r="A24" s="2"/>
      <c r="B24" s="26" t="s">
        <v>29</v>
      </c>
      <c r="C24" s="2"/>
      <c r="D24" s="5"/>
      <c r="E24" s="26" t="s">
        <v>34</v>
      </c>
      <c r="F24" s="2"/>
      <c r="G24" s="26" t="s">
        <v>35</v>
      </c>
      <c r="H24" s="2"/>
      <c r="I24" s="2"/>
      <c r="J24" s="2"/>
      <c r="K24" s="2"/>
      <c r="L24" s="2"/>
      <c r="M24" s="2"/>
      <c r="N24" s="2"/>
    </row>
    <row r="25" spans="1:14" ht="12.75" customHeight="1">
      <c r="A25" s="2"/>
      <c r="B25" s="90" t="s">
        <v>18</v>
      </c>
      <c r="C25" s="91"/>
      <c r="D25" s="47"/>
      <c r="E25" s="2"/>
      <c r="F25" s="47">
        <f>MAX(N61,I71)</f>
        <v>688.1895716598224</v>
      </c>
      <c r="G25" s="48">
        <f>0.3*G23</f>
        <v>2575.610965973775</v>
      </c>
      <c r="H25" s="2"/>
      <c r="I25" s="2" t="s">
        <v>60</v>
      </c>
      <c r="J25" s="2"/>
      <c r="K25" s="2"/>
      <c r="L25" s="2"/>
      <c r="M25" s="2"/>
      <c r="N25" s="2"/>
    </row>
    <row r="26" spans="1:14" ht="12.75">
      <c r="A26" s="2"/>
      <c r="B26" s="2" t="s">
        <v>19</v>
      </c>
      <c r="C26" s="2"/>
      <c r="D26" s="5">
        <f>E4</f>
        <v>17200</v>
      </c>
      <c r="E26" s="3"/>
      <c r="F26" s="22"/>
      <c r="G26" s="22"/>
      <c r="H26" s="2"/>
      <c r="I26" s="2"/>
      <c r="J26" s="2"/>
      <c r="K26" s="2"/>
      <c r="L26" s="2"/>
      <c r="M26" s="2"/>
      <c r="N26" s="2"/>
    </row>
    <row r="27" spans="1:14" ht="12.75" customHeight="1">
      <c r="A27" s="2"/>
      <c r="B27" s="72" t="s">
        <v>41</v>
      </c>
      <c r="C27" s="73"/>
      <c r="D27" s="52"/>
      <c r="E27" s="28">
        <f>F25/E6</f>
        <v>0.041750631243265265</v>
      </c>
      <c r="F27" s="2"/>
      <c r="G27" s="2"/>
      <c r="H27" s="28">
        <f>G25/E6</f>
        <v>0.1562554681076102</v>
      </c>
      <c r="I27" s="2" t="s">
        <v>43</v>
      </c>
      <c r="J27" s="2"/>
      <c r="K27" s="2"/>
      <c r="L27" s="2"/>
      <c r="M27" s="2"/>
      <c r="N27" s="2"/>
    </row>
    <row r="28" spans="1:14" ht="12.75" customHeight="1">
      <c r="A28" s="2"/>
      <c r="B28" s="92" t="s">
        <v>52</v>
      </c>
      <c r="C28" s="92"/>
      <c r="D28" s="92"/>
      <c r="E28" s="9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72" t="s">
        <v>8</v>
      </c>
      <c r="C29" s="73"/>
      <c r="D29" s="45"/>
      <c r="E29" s="32">
        <f>D11*(E6/D26)</f>
        <v>0.012332588383648254</v>
      </c>
      <c r="F29" s="30">
        <f>E29*D26</f>
        <v>212.12052019874997</v>
      </c>
      <c r="G29" s="30">
        <f>F29</f>
        <v>212.12052019874997</v>
      </c>
      <c r="H29" s="32">
        <f aca="true" t="shared" si="0" ref="H29:H34">E29</f>
        <v>0.012332588383648254</v>
      </c>
      <c r="I29" s="2" t="s">
        <v>42</v>
      </c>
      <c r="J29" s="2"/>
      <c r="K29" s="2"/>
      <c r="L29" s="2"/>
      <c r="M29" s="2"/>
      <c r="N29" s="2"/>
    </row>
    <row r="30" spans="1:14" ht="12.75">
      <c r="A30" s="2"/>
      <c r="B30" s="72" t="s">
        <v>14</v>
      </c>
      <c r="C30" s="73"/>
      <c r="D30" s="45"/>
      <c r="E30" s="32">
        <f>D12*(E6/D26)</f>
        <v>0</v>
      </c>
      <c r="F30" s="30">
        <f>D26*E30</f>
        <v>0</v>
      </c>
      <c r="G30" s="30"/>
      <c r="H30" s="32">
        <f t="shared" si="0"/>
        <v>0</v>
      </c>
      <c r="I30" s="2"/>
      <c r="J30" s="27">
        <v>300000</v>
      </c>
      <c r="K30" s="2"/>
      <c r="L30" s="2"/>
      <c r="M30" s="2"/>
      <c r="N30" s="2"/>
    </row>
    <row r="31" spans="1:14" ht="12.75" customHeight="1">
      <c r="A31" s="2"/>
      <c r="B31" s="72" t="s">
        <v>9</v>
      </c>
      <c r="C31" s="73"/>
      <c r="D31" s="45"/>
      <c r="E31" s="32">
        <f>(0.01*(E7+E8)/12)/D26</f>
        <v>0.05645749854651163</v>
      </c>
      <c r="F31" s="30">
        <f>E31*D26</f>
        <v>971.068975</v>
      </c>
      <c r="G31" s="30">
        <f>F31</f>
        <v>971.068975</v>
      </c>
      <c r="H31" s="32">
        <f t="shared" si="0"/>
        <v>0.05645749854651163</v>
      </c>
      <c r="I31" s="26" t="s">
        <v>59</v>
      </c>
      <c r="J31" s="2"/>
      <c r="K31" s="2"/>
      <c r="L31" s="2"/>
      <c r="M31" s="2"/>
      <c r="N31" s="2"/>
    </row>
    <row r="32" spans="1:14" ht="12.75" customHeight="1">
      <c r="A32" s="2"/>
      <c r="B32" s="72" t="s">
        <v>11</v>
      </c>
      <c r="C32" s="73"/>
      <c r="D32" s="45"/>
      <c r="E32" s="32">
        <f>D14*(E6/D26)</f>
        <v>0.09583333333333333</v>
      </c>
      <c r="F32" s="30">
        <f>E32*D26</f>
        <v>1648.3333333333333</v>
      </c>
      <c r="G32" s="30">
        <f>F32</f>
        <v>1648.3333333333333</v>
      </c>
      <c r="H32" s="32">
        <f t="shared" si="0"/>
        <v>0.09583333333333333</v>
      </c>
      <c r="I32" s="2"/>
      <c r="J32" s="2" t="s">
        <v>45</v>
      </c>
      <c r="K32" s="2"/>
      <c r="L32" s="2"/>
      <c r="M32" s="2"/>
      <c r="N32" s="2"/>
    </row>
    <row r="33" spans="1:15" ht="12.75" customHeight="1">
      <c r="A33" s="2"/>
      <c r="B33" s="72" t="s">
        <v>10</v>
      </c>
      <c r="C33" s="73"/>
      <c r="D33" s="45"/>
      <c r="E33" s="32">
        <f>D15*(E6/D26)</f>
        <v>0</v>
      </c>
      <c r="F33" s="30">
        <f>E33*D26</f>
        <v>0</v>
      </c>
      <c r="G33" s="30"/>
      <c r="H33" s="32">
        <f t="shared" si="0"/>
        <v>0</v>
      </c>
      <c r="I33" s="26"/>
      <c r="J33" s="68" t="s">
        <v>58</v>
      </c>
      <c r="K33" s="69"/>
      <c r="L33" s="69"/>
      <c r="M33" s="69"/>
      <c r="N33" s="69"/>
      <c r="O33" s="69"/>
    </row>
    <row r="34" spans="1:15" ht="12.75">
      <c r="A34" s="2"/>
      <c r="B34" s="72" t="s">
        <v>12</v>
      </c>
      <c r="C34" s="73"/>
      <c r="D34" s="45"/>
      <c r="E34" s="32">
        <f>(0.0001897*E7)/D26</f>
        <v>0.012273008326860466</v>
      </c>
      <c r="F34" s="30">
        <f>E34*D26</f>
        <v>211.095743222</v>
      </c>
      <c r="G34" s="30">
        <f>F34</f>
        <v>211.095743222</v>
      </c>
      <c r="H34" s="32">
        <f t="shared" si="0"/>
        <v>0.012273008326860466</v>
      </c>
      <c r="I34" s="26"/>
      <c r="J34" s="69"/>
      <c r="K34" s="69"/>
      <c r="L34" s="69"/>
      <c r="M34" s="69"/>
      <c r="N34" s="69"/>
      <c r="O34" s="69"/>
    </row>
    <row r="35" spans="1:14" ht="12.75">
      <c r="A35" s="2"/>
      <c r="B35" s="99" t="s">
        <v>65</v>
      </c>
      <c r="C35" s="73"/>
      <c r="D35" s="45"/>
      <c r="E35" s="32">
        <f>F25/D26</f>
        <v>0.04001102160812921</v>
      </c>
      <c r="F35" s="30">
        <f>F25</f>
        <v>688.1895716598224</v>
      </c>
      <c r="G35" s="30">
        <f>G25</f>
        <v>2575.610965973775</v>
      </c>
      <c r="H35" s="32">
        <f>G35/D26</f>
        <v>0.14974482360312644</v>
      </c>
      <c r="I35" s="26" t="s">
        <v>53</v>
      </c>
      <c r="J35" s="1"/>
      <c r="K35" s="1"/>
      <c r="L35" s="1"/>
      <c r="M35" s="1"/>
      <c r="N35" s="1"/>
    </row>
    <row r="36" spans="1:14" ht="12.75">
      <c r="A36" s="6"/>
      <c r="B36" s="7" t="s">
        <v>20</v>
      </c>
      <c r="C36" s="50"/>
      <c r="D36" s="45"/>
      <c r="E36" s="32">
        <f>C5/24</f>
        <v>0.041666666666666664</v>
      </c>
      <c r="F36" s="30">
        <f>E36*D26</f>
        <v>716.6666666666666</v>
      </c>
      <c r="G36" s="30">
        <f>F36</f>
        <v>716.6666666666666</v>
      </c>
      <c r="H36" s="32">
        <f>E36</f>
        <v>0.041666666666666664</v>
      </c>
      <c r="I36" s="2"/>
      <c r="J36" s="1" t="s">
        <v>36</v>
      </c>
      <c r="K36" s="2"/>
      <c r="L36" s="2"/>
      <c r="M36" s="2"/>
      <c r="N36" s="2"/>
    </row>
    <row r="37" spans="1:14" ht="12.75">
      <c r="A37" s="2"/>
      <c r="B37" s="72" t="s">
        <v>1</v>
      </c>
      <c r="C37" s="73"/>
      <c r="D37" s="45"/>
      <c r="E37" s="32">
        <f>IF(H5&gt;300000,0.1*F22/D26,0)</f>
        <v>0</v>
      </c>
      <c r="F37" s="30">
        <f>E37*D26</f>
        <v>0</v>
      </c>
      <c r="G37" s="30">
        <f>IF(H5&gt;300000,0.1*G22,0)</f>
        <v>0</v>
      </c>
      <c r="H37" s="32">
        <f>G37/D26</f>
        <v>0</v>
      </c>
      <c r="I37" s="2"/>
      <c r="J37" s="2" t="s">
        <v>37</v>
      </c>
      <c r="K37" s="2"/>
      <c r="L37" s="2"/>
      <c r="M37" s="2"/>
      <c r="N37" s="2"/>
    </row>
    <row r="38" spans="1:14" ht="12.75">
      <c r="A38" s="1"/>
      <c r="B38" s="66" t="s">
        <v>64</v>
      </c>
      <c r="C38" s="2"/>
      <c r="D38" s="45"/>
      <c r="E38" s="32">
        <f>SUM(E29:E37)</f>
        <v>0.25857411686514953</v>
      </c>
      <c r="F38" s="30">
        <f>F29+F31+F32+F34+F35+F36+F37</f>
        <v>4447.474810080572</v>
      </c>
      <c r="G38" s="30">
        <f>G29+G31+G32+G34+G35+G36+G37</f>
        <v>6334.896204394525</v>
      </c>
      <c r="H38" s="32">
        <f>G38/D26</f>
        <v>0.3683079188601468</v>
      </c>
      <c r="I38" s="2"/>
      <c r="J38" s="2" t="s">
        <v>38</v>
      </c>
      <c r="K38" s="2"/>
      <c r="L38" s="2"/>
      <c r="M38" s="2"/>
      <c r="N38" s="2"/>
    </row>
    <row r="39" spans="1:14" ht="12.75">
      <c r="A39" s="1"/>
      <c r="B39" s="2" t="s">
        <v>4</v>
      </c>
      <c r="C39" s="2"/>
      <c r="D39" s="2"/>
      <c r="E39" s="1"/>
      <c r="F39" s="30">
        <f>D26-F38</f>
        <v>12752.525189919428</v>
      </c>
      <c r="G39" s="30">
        <f>D26-G38</f>
        <v>10865.103795605475</v>
      </c>
      <c r="H39" s="2"/>
      <c r="I39" s="2"/>
      <c r="J39" s="66" t="s">
        <v>68</v>
      </c>
      <c r="K39" s="2"/>
      <c r="L39" s="2"/>
      <c r="M39" s="2"/>
      <c r="N39" s="2"/>
    </row>
    <row r="40" spans="1:14" ht="12.75">
      <c r="A40" s="1"/>
      <c r="B40" s="2"/>
      <c r="C40" s="2"/>
      <c r="D40" s="2"/>
      <c r="E40" s="1"/>
      <c r="F40" s="2"/>
      <c r="G40" s="2"/>
      <c r="H40" s="2"/>
      <c r="I40" s="2"/>
      <c r="J40" s="2" t="s">
        <v>44</v>
      </c>
      <c r="K40" s="2"/>
      <c r="L40" s="2"/>
      <c r="M40" s="2"/>
      <c r="N40" s="2"/>
    </row>
    <row r="41" spans="1:14" ht="12.75">
      <c r="A41" s="2"/>
      <c r="B41" s="2" t="s">
        <v>33</v>
      </c>
      <c r="C41" s="1"/>
      <c r="D41" s="28"/>
      <c r="E41" s="23">
        <f>SUM(E29:E37)-E36</f>
        <v>0.21690745019848287</v>
      </c>
      <c r="F41" s="2"/>
      <c r="G41" s="8"/>
      <c r="H41" s="28">
        <f>H38-H36</f>
        <v>0.3266412521934801</v>
      </c>
      <c r="I41" s="1"/>
      <c r="J41" s="2" t="s">
        <v>49</v>
      </c>
      <c r="K41" s="1"/>
      <c r="L41" s="1"/>
      <c r="M41" s="1"/>
      <c r="N41" s="1"/>
    </row>
    <row r="42" spans="1:14" ht="12.75">
      <c r="A42" s="2"/>
      <c r="B42" s="2"/>
      <c r="C42" s="2"/>
      <c r="D42" s="2"/>
      <c r="E42" s="2"/>
      <c r="F42" s="2"/>
      <c r="G42" s="1"/>
      <c r="H42" s="1"/>
      <c r="I42" s="1"/>
      <c r="J42" s="2" t="s">
        <v>50</v>
      </c>
      <c r="K42" s="1"/>
      <c r="L42" s="1"/>
      <c r="M42" s="1"/>
      <c r="N42" s="1"/>
    </row>
    <row r="43" spans="1:14" ht="12.75">
      <c r="A43" s="9"/>
      <c r="B43" s="63" t="s">
        <v>61</v>
      </c>
      <c r="C43" s="10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1:14" ht="12.75">
      <c r="A44" s="9"/>
      <c r="B44" s="10"/>
      <c r="C44" s="10"/>
      <c r="D44" s="7"/>
      <c r="E44" s="7"/>
      <c r="F44" s="7"/>
      <c r="G44" s="8"/>
      <c r="H44" s="7"/>
      <c r="I44" s="13"/>
      <c r="J44" s="7"/>
      <c r="K44" s="7"/>
      <c r="L44" s="7"/>
      <c r="M44" s="7"/>
      <c r="N44" s="7"/>
    </row>
    <row r="45" spans="1:14" ht="12.75">
      <c r="A45" s="11"/>
      <c r="B45" s="10" t="s">
        <v>69</v>
      </c>
      <c r="C45" s="12"/>
      <c r="D45" s="10"/>
      <c r="E45" s="7"/>
      <c r="F45" s="7"/>
      <c r="G45" s="7"/>
      <c r="H45" s="7"/>
      <c r="I45" s="14"/>
      <c r="J45" s="7"/>
      <c r="K45" s="7"/>
      <c r="L45" s="7"/>
      <c r="M45" s="20"/>
      <c r="N45" s="7"/>
    </row>
    <row r="46" spans="1:14" ht="13.5" thickBot="1">
      <c r="A46" s="7"/>
      <c r="B46" s="10"/>
      <c r="C46" s="10"/>
      <c r="D46" s="7"/>
      <c r="E46" s="13"/>
      <c r="F46" s="7"/>
      <c r="G46" s="7"/>
      <c r="H46" s="7"/>
      <c r="I46" s="13" t="s">
        <v>21</v>
      </c>
      <c r="J46" s="7"/>
      <c r="K46" s="7"/>
      <c r="L46" s="7"/>
      <c r="M46" s="20"/>
      <c r="N46" s="74"/>
    </row>
    <row r="47" spans="1:14" ht="13.5" thickBot="1">
      <c r="A47" s="75" t="s">
        <v>22</v>
      </c>
      <c r="B47" s="76"/>
      <c r="C47" s="76" t="s">
        <v>23</v>
      </c>
      <c r="D47" s="76"/>
      <c r="E47" s="76" t="s">
        <v>24</v>
      </c>
      <c r="F47" s="76"/>
      <c r="G47" s="76" t="s">
        <v>25</v>
      </c>
      <c r="H47" s="100"/>
      <c r="I47" s="57">
        <f>F23</f>
        <v>8585.36988657925</v>
      </c>
      <c r="J47" s="7"/>
      <c r="K47" s="7"/>
      <c r="L47" s="7"/>
      <c r="M47" s="7"/>
      <c r="N47" s="74"/>
    </row>
    <row r="48" spans="1:14" ht="12.75">
      <c r="A48" s="77"/>
      <c r="B48" s="78"/>
      <c r="C48" s="78"/>
      <c r="D48" s="78"/>
      <c r="E48" s="78"/>
      <c r="F48" s="78"/>
      <c r="G48" s="78"/>
      <c r="H48" s="101"/>
      <c r="I48" s="7"/>
      <c r="J48" s="7"/>
      <c r="K48" s="7"/>
      <c r="L48" s="7"/>
      <c r="M48" s="7"/>
      <c r="N48" s="49"/>
    </row>
    <row r="49" spans="1:14" ht="13.5" thickBot="1">
      <c r="A49" s="79"/>
      <c r="B49" s="80"/>
      <c r="C49" s="80"/>
      <c r="D49" s="80"/>
      <c r="E49" s="80"/>
      <c r="F49" s="80"/>
      <c r="G49" s="80"/>
      <c r="H49" s="102"/>
      <c r="I49" s="14"/>
      <c r="J49" s="7"/>
      <c r="K49" s="7"/>
      <c r="L49" s="7"/>
      <c r="M49" s="7"/>
      <c r="N49" s="15"/>
    </row>
    <row r="50" spans="1:14" ht="12.75">
      <c r="A50" s="70">
        <v>0.01</v>
      </c>
      <c r="B50" s="70"/>
      <c r="C50" s="70">
        <v>578.52</v>
      </c>
      <c r="D50" s="70"/>
      <c r="E50" s="70">
        <v>0</v>
      </c>
      <c r="F50" s="70"/>
      <c r="G50" s="71">
        <v>0.0192</v>
      </c>
      <c r="H50" s="71"/>
      <c r="I50" s="38">
        <f>$I$47-A50</f>
        <v>8585.35988657925</v>
      </c>
      <c r="J50" s="40">
        <f aca="true" t="shared" si="1" ref="J50:J59">IF(I50&gt;0,0,1)</f>
        <v>0</v>
      </c>
      <c r="K50" s="38">
        <f aca="true" t="shared" si="2" ref="K50:K59">IF(J50=0,IF(J51=0,"",E50))</f>
      </c>
      <c r="L50" s="38">
        <f aca="true" t="shared" si="3" ref="L50:L59">IF(J50=0,IF(J51=0,"",G50))</f>
      </c>
      <c r="M50" s="38">
        <f>IF(J50=0,IF(J51=0,"",A50))</f>
      </c>
      <c r="N50" s="15"/>
    </row>
    <row r="51" spans="1:14" ht="12.75">
      <c r="A51" s="70">
        <f aca="true" t="shared" si="4" ref="A51:A56">C50+0.01</f>
        <v>578.53</v>
      </c>
      <c r="B51" s="70"/>
      <c r="C51" s="70">
        <v>4910.18</v>
      </c>
      <c r="D51" s="70"/>
      <c r="E51" s="70">
        <v>11.11</v>
      </c>
      <c r="F51" s="70"/>
      <c r="G51" s="71">
        <v>0.064</v>
      </c>
      <c r="H51" s="71"/>
      <c r="I51" s="39">
        <f aca="true" t="shared" si="5" ref="I51:I60">$I$47-A51</f>
        <v>8006.839886579251</v>
      </c>
      <c r="J51" s="40">
        <f t="shared" si="1"/>
        <v>0</v>
      </c>
      <c r="K51" s="38">
        <f t="shared" si="2"/>
      </c>
      <c r="L51" s="42">
        <f t="shared" si="3"/>
      </c>
      <c r="M51" s="38">
        <f>IF(J51=0,IF(J52=0,"",A51))</f>
      </c>
      <c r="N51" s="15"/>
    </row>
    <row r="52" spans="1:14" ht="12.75">
      <c r="A52" s="70">
        <f t="shared" si="4"/>
        <v>4910.1900000000005</v>
      </c>
      <c r="B52" s="70"/>
      <c r="C52" s="70">
        <v>8629.2</v>
      </c>
      <c r="D52" s="70"/>
      <c r="E52" s="70">
        <v>288.33</v>
      </c>
      <c r="F52" s="70"/>
      <c r="G52" s="71">
        <v>0.1088</v>
      </c>
      <c r="H52" s="71"/>
      <c r="I52" s="39">
        <f t="shared" si="5"/>
        <v>3675.17988657925</v>
      </c>
      <c r="J52" s="40">
        <f t="shared" si="1"/>
        <v>0</v>
      </c>
      <c r="K52" s="38">
        <f t="shared" si="2"/>
        <v>288.33</v>
      </c>
      <c r="L52" s="38">
        <f t="shared" si="3"/>
        <v>0.1088</v>
      </c>
      <c r="M52" s="38">
        <f>IF(J52=0,IF(J53=0,"",A52))</f>
        <v>4910.1900000000005</v>
      </c>
      <c r="N52" s="15"/>
    </row>
    <row r="53" spans="1:14" ht="12.75">
      <c r="A53" s="70">
        <f t="shared" si="4"/>
        <v>8629.210000000001</v>
      </c>
      <c r="B53" s="70"/>
      <c r="C53" s="93">
        <v>10031.07</v>
      </c>
      <c r="D53" s="94"/>
      <c r="E53" s="93">
        <v>692.96</v>
      </c>
      <c r="F53" s="94"/>
      <c r="G53" s="97">
        <v>0.16</v>
      </c>
      <c r="H53" s="98"/>
      <c r="I53" s="39">
        <f t="shared" si="5"/>
        <v>-43.84011342075064</v>
      </c>
      <c r="J53" s="40">
        <f t="shared" si="1"/>
        <v>1</v>
      </c>
      <c r="K53" s="38" t="b">
        <f t="shared" si="2"/>
        <v>0</v>
      </c>
      <c r="L53" s="38" t="b">
        <f t="shared" si="3"/>
        <v>0</v>
      </c>
      <c r="M53" s="38" t="b">
        <f>IF(J53=0,IF(J54=0,"",A53))</f>
        <v>0</v>
      </c>
      <c r="N53" s="15"/>
    </row>
    <row r="54" spans="1:14" ht="12.75">
      <c r="A54" s="70">
        <f t="shared" si="4"/>
        <v>10031.08</v>
      </c>
      <c r="B54" s="70"/>
      <c r="C54" s="93">
        <v>12009.94</v>
      </c>
      <c r="D54" s="94"/>
      <c r="E54" s="93">
        <v>917.26</v>
      </c>
      <c r="F54" s="94"/>
      <c r="G54" s="97">
        <v>0.1792</v>
      </c>
      <c r="H54" s="98"/>
      <c r="I54" s="39">
        <f t="shared" si="5"/>
        <v>-1445.7101134207496</v>
      </c>
      <c r="J54" s="40">
        <f t="shared" si="1"/>
        <v>1</v>
      </c>
      <c r="K54" s="38" t="b">
        <f t="shared" si="2"/>
        <v>0</v>
      </c>
      <c r="L54" s="38" t="b">
        <f t="shared" si="3"/>
        <v>0</v>
      </c>
      <c r="M54" s="38" t="b">
        <f aca="true" t="shared" si="6" ref="M54:M59">IF(J54=0,IF(J55=0,"",A54))</f>
        <v>0</v>
      </c>
      <c r="N54" s="15"/>
    </row>
    <row r="55" spans="1:14" ht="12.75">
      <c r="A55" s="70">
        <f t="shared" si="4"/>
        <v>12009.95</v>
      </c>
      <c r="B55" s="70"/>
      <c r="C55" s="93">
        <v>24222.31</v>
      </c>
      <c r="D55" s="94"/>
      <c r="E55" s="93">
        <v>1271.87</v>
      </c>
      <c r="F55" s="94"/>
      <c r="G55" s="97">
        <v>0.2136</v>
      </c>
      <c r="H55" s="98"/>
      <c r="I55" s="39">
        <f t="shared" si="5"/>
        <v>-3424.5801134207504</v>
      </c>
      <c r="J55" s="40">
        <f t="shared" si="1"/>
        <v>1</v>
      </c>
      <c r="K55" s="38" t="b">
        <f t="shared" si="2"/>
        <v>0</v>
      </c>
      <c r="L55" s="38" t="b">
        <f t="shared" si="3"/>
        <v>0</v>
      </c>
      <c r="M55" s="38" t="b">
        <f t="shared" si="6"/>
        <v>0</v>
      </c>
      <c r="N55" s="15"/>
    </row>
    <row r="56" spans="1:14" ht="12.75">
      <c r="A56" s="70">
        <f t="shared" si="4"/>
        <v>24222.32</v>
      </c>
      <c r="B56" s="70"/>
      <c r="C56" s="70">
        <v>38177.69</v>
      </c>
      <c r="D56" s="70"/>
      <c r="E56" s="70">
        <v>3880.44</v>
      </c>
      <c r="F56" s="70"/>
      <c r="G56" s="71">
        <v>0.2352</v>
      </c>
      <c r="H56" s="71"/>
      <c r="I56" s="39">
        <f t="shared" si="5"/>
        <v>-15636.95011342075</v>
      </c>
      <c r="J56" s="40">
        <f t="shared" si="1"/>
        <v>1</v>
      </c>
      <c r="K56" s="38" t="b">
        <f t="shared" si="2"/>
        <v>0</v>
      </c>
      <c r="L56" s="38" t="b">
        <f t="shared" si="3"/>
        <v>0</v>
      </c>
      <c r="M56" s="38" t="b">
        <f t="shared" si="6"/>
        <v>0</v>
      </c>
      <c r="N56" s="16"/>
    </row>
    <row r="57" spans="1:14" ht="12.75">
      <c r="A57" s="93">
        <f>C56+0.01</f>
        <v>38177.700000000004</v>
      </c>
      <c r="B57" s="94"/>
      <c r="C57" s="93">
        <v>72887.5</v>
      </c>
      <c r="D57" s="94"/>
      <c r="E57" s="93">
        <v>7162.74</v>
      </c>
      <c r="F57" s="94"/>
      <c r="G57" s="97">
        <v>0.3</v>
      </c>
      <c r="H57" s="98"/>
      <c r="I57" s="39">
        <f t="shared" si="5"/>
        <v>-29592.330113420754</v>
      </c>
      <c r="J57" s="40">
        <f t="shared" si="1"/>
        <v>1</v>
      </c>
      <c r="K57" s="38" t="b">
        <f t="shared" si="2"/>
        <v>0</v>
      </c>
      <c r="L57" s="38" t="b">
        <f t="shared" si="3"/>
        <v>0</v>
      </c>
      <c r="M57" s="38" t="b">
        <f t="shared" si="6"/>
        <v>0</v>
      </c>
      <c r="N57" s="16"/>
    </row>
    <row r="58" spans="1:14" ht="12.75">
      <c r="A58" s="93">
        <f>C57+0.01</f>
        <v>72887.51</v>
      </c>
      <c r="B58" s="94"/>
      <c r="C58" s="93">
        <v>97183.33</v>
      </c>
      <c r="D58" s="94"/>
      <c r="E58" s="93">
        <v>17575.69</v>
      </c>
      <c r="F58" s="94"/>
      <c r="G58" s="97">
        <v>0.32</v>
      </c>
      <c r="H58" s="98"/>
      <c r="I58" s="39">
        <f t="shared" si="5"/>
        <v>-64302.14011342074</v>
      </c>
      <c r="J58" s="40">
        <f t="shared" si="1"/>
        <v>1</v>
      </c>
      <c r="K58" s="38" t="b">
        <f t="shared" si="2"/>
        <v>0</v>
      </c>
      <c r="L58" s="38" t="b">
        <f t="shared" si="3"/>
        <v>0</v>
      </c>
      <c r="M58" s="38" t="b">
        <f t="shared" si="6"/>
        <v>0</v>
      </c>
      <c r="N58" s="16"/>
    </row>
    <row r="59" spans="1:14" ht="12.75">
      <c r="A59" s="93">
        <f>C58+0.01</f>
        <v>97183.34</v>
      </c>
      <c r="B59" s="94"/>
      <c r="C59" s="93">
        <v>291550</v>
      </c>
      <c r="D59" s="94"/>
      <c r="E59" s="93">
        <v>25350.35</v>
      </c>
      <c r="F59" s="94"/>
      <c r="G59" s="97">
        <v>0.34</v>
      </c>
      <c r="H59" s="98"/>
      <c r="I59" s="39">
        <f t="shared" si="5"/>
        <v>-88597.97011342074</v>
      </c>
      <c r="J59" s="40">
        <f t="shared" si="1"/>
        <v>1</v>
      </c>
      <c r="K59" s="38" t="b">
        <f t="shared" si="2"/>
        <v>0</v>
      </c>
      <c r="L59" s="38" t="b">
        <f t="shared" si="3"/>
        <v>0</v>
      </c>
      <c r="M59" s="38" t="b">
        <f t="shared" si="6"/>
        <v>0</v>
      </c>
      <c r="N59" s="16"/>
    </row>
    <row r="60" spans="1:14" ht="13.5" thickBot="1">
      <c r="A60" s="93">
        <f>C59+0.01</f>
        <v>291550.01</v>
      </c>
      <c r="B60" s="94"/>
      <c r="C60" s="95" t="s">
        <v>2</v>
      </c>
      <c r="D60" s="96"/>
      <c r="E60" s="95">
        <v>91435.02</v>
      </c>
      <c r="F60" s="96"/>
      <c r="G60" s="97">
        <v>0.35</v>
      </c>
      <c r="H60" s="98"/>
      <c r="I60" s="39">
        <f t="shared" si="5"/>
        <v>-282964.6401134208</v>
      </c>
      <c r="J60" s="40">
        <f>IF(I60&gt;0,0,1)</f>
        <v>1</v>
      </c>
      <c r="K60" s="42" t="b">
        <f>IF(J60=0,IF(J60&gt;0,"",E60))</f>
        <v>0</v>
      </c>
      <c r="L60" s="42" t="b">
        <f>IF(J60=0,IF(J60&gt;0,"",G60))</f>
        <v>0</v>
      </c>
      <c r="M60" s="42" t="b">
        <f>IF(J60=0,IF(J60&gt;0,"",A60))</f>
        <v>0</v>
      </c>
      <c r="N60" s="7"/>
    </row>
    <row r="61" spans="1:14" ht="13.5" thickBot="1">
      <c r="A61" s="17"/>
      <c r="B61" s="12"/>
      <c r="C61" s="12"/>
      <c r="D61" s="12"/>
      <c r="E61" s="12"/>
      <c r="F61" s="7"/>
      <c r="G61" s="7"/>
      <c r="H61" s="7"/>
      <c r="I61" s="18"/>
      <c r="J61" s="41">
        <v>1</v>
      </c>
      <c r="K61" s="43">
        <f>SUM(K50:K60)</f>
        <v>288.33</v>
      </c>
      <c r="L61" s="56">
        <f>SUM(L50:L60)</f>
        <v>0.1088</v>
      </c>
      <c r="M61" s="44">
        <f>SUM(M50:M60)</f>
        <v>4910.1900000000005</v>
      </c>
      <c r="N61" s="21">
        <f>K61+L61*(I47-M61)</f>
        <v>688.1895716598224</v>
      </c>
    </row>
    <row r="62" spans="1:14" ht="12.75">
      <c r="A62" s="19"/>
      <c r="B62" s="62" t="s">
        <v>54</v>
      </c>
      <c r="C62" s="7"/>
      <c r="D62" s="7"/>
      <c r="E62" s="12"/>
      <c r="F62" s="7"/>
      <c r="G62" s="7"/>
      <c r="H62" s="7"/>
      <c r="I62" s="7"/>
      <c r="J62" s="7"/>
      <c r="K62" s="7" t="s">
        <v>24</v>
      </c>
      <c r="L62" s="7" t="s">
        <v>26</v>
      </c>
      <c r="M62" s="7" t="s">
        <v>27</v>
      </c>
      <c r="N62" s="7"/>
    </row>
    <row r="63" spans="1:14" ht="12.75">
      <c r="A63" s="7"/>
      <c r="C63" s="7"/>
      <c r="D63" s="7"/>
      <c r="E63" s="7"/>
      <c r="F63" s="7"/>
      <c r="G63" s="20"/>
      <c r="H63" s="20"/>
      <c r="I63" s="20"/>
      <c r="J63" s="20"/>
      <c r="K63" s="20"/>
      <c r="L63" s="20"/>
      <c r="M63" s="20"/>
      <c r="N63" s="20"/>
    </row>
    <row r="64" spans="1:14" ht="12.75">
      <c r="A64" s="7"/>
      <c r="B64" s="67" t="s">
        <v>66</v>
      </c>
      <c r="C64" s="7"/>
      <c r="D64" s="7"/>
      <c r="E64" s="7"/>
      <c r="F64" s="7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7"/>
      <c r="B65" s="67" t="s">
        <v>67</v>
      </c>
      <c r="C65" s="7"/>
      <c r="D65" s="7"/>
      <c r="E65" s="7"/>
      <c r="F65" s="7"/>
      <c r="G65" s="20"/>
      <c r="H65" s="20"/>
      <c r="I65" s="20"/>
      <c r="J65" s="20"/>
      <c r="K65" s="20"/>
      <c r="L65" s="20"/>
      <c r="M65" s="20"/>
      <c r="N65" s="20"/>
    </row>
    <row r="66" spans="1:14" ht="12.75">
      <c r="A66" s="7"/>
      <c r="B66" s="7"/>
      <c r="C66" s="7"/>
      <c r="D66" s="7"/>
      <c r="E66" s="7"/>
      <c r="F66" s="7"/>
      <c r="G66" s="20"/>
      <c r="H66" s="20"/>
      <c r="I66" s="20"/>
      <c r="J66" s="20"/>
      <c r="K66" s="20"/>
      <c r="L66" s="20"/>
      <c r="M66" s="20"/>
      <c r="N66" s="20"/>
    </row>
    <row r="67" spans="1:14" ht="12.75">
      <c r="A67" s="7"/>
      <c r="B67" s="7"/>
      <c r="C67" s="7"/>
      <c r="D67" s="7"/>
      <c r="E67" s="7"/>
      <c r="F67" s="7"/>
      <c r="G67" s="20"/>
      <c r="H67" s="20"/>
      <c r="I67" s="20"/>
      <c r="J67" s="20"/>
      <c r="K67" s="20"/>
      <c r="L67" s="20"/>
      <c r="M67" s="20"/>
      <c r="N67" s="20"/>
    </row>
    <row r="68" spans="1:14" ht="12.75">
      <c r="A68" s="7"/>
      <c r="B68" s="7"/>
      <c r="C68" s="7"/>
      <c r="D68" s="7"/>
      <c r="E68" s="7"/>
      <c r="F68" s="7"/>
      <c r="G68" s="20"/>
      <c r="H68" s="20"/>
      <c r="I68" s="20"/>
      <c r="J68" s="20"/>
      <c r="K68" s="20"/>
      <c r="L68" s="20"/>
      <c r="M68" s="20"/>
      <c r="N68" s="20"/>
    </row>
    <row r="69" spans="1:14" ht="12.75">
      <c r="A69" s="7"/>
      <c r="B69" s="7"/>
      <c r="C69" s="59"/>
      <c r="D69" s="14"/>
      <c r="E69" s="7"/>
      <c r="F69" s="103"/>
      <c r="G69" s="103"/>
      <c r="H69" s="103"/>
      <c r="I69" s="60">
        <f>D69-D72</f>
        <v>0</v>
      </c>
      <c r="J69" s="20"/>
      <c r="K69" s="20"/>
      <c r="L69" s="20"/>
      <c r="M69" s="20"/>
      <c r="N69" s="20"/>
    </row>
    <row r="70" spans="1:14" ht="12.75">
      <c r="A70" s="7"/>
      <c r="B70" s="7"/>
      <c r="C70" s="59"/>
      <c r="D70" s="14"/>
      <c r="E70" s="7"/>
      <c r="F70" s="7"/>
      <c r="G70" s="20"/>
      <c r="H70" s="20"/>
      <c r="I70" s="20"/>
      <c r="J70" s="20"/>
      <c r="K70" s="20"/>
      <c r="L70" s="20"/>
      <c r="M70" s="20"/>
      <c r="N70" s="58">
        <v>43320</v>
      </c>
    </row>
    <row r="71" spans="1:14" ht="12.75">
      <c r="A71" s="7"/>
      <c r="B71" s="103"/>
      <c r="C71" s="103"/>
      <c r="D71" s="14"/>
      <c r="E71" s="7"/>
      <c r="F71" s="7"/>
      <c r="G71" s="20"/>
      <c r="H71" s="61"/>
      <c r="I71" s="60">
        <f>0.175*I69</f>
        <v>0</v>
      </c>
      <c r="J71" s="20"/>
      <c r="K71" s="20"/>
      <c r="L71" s="20"/>
      <c r="M71" s="20"/>
      <c r="N71" s="20"/>
    </row>
    <row r="72" spans="1:14" ht="12.75">
      <c r="A72" s="7"/>
      <c r="B72" s="103"/>
      <c r="C72" s="103"/>
      <c r="D72" s="14"/>
      <c r="E72" s="7"/>
      <c r="F72" s="7"/>
      <c r="G72" s="20"/>
      <c r="H72" s="20"/>
      <c r="I72" s="20"/>
      <c r="J72" s="20"/>
      <c r="K72" s="20"/>
      <c r="L72" s="20"/>
      <c r="M72" s="20"/>
      <c r="N72" s="58"/>
    </row>
    <row r="73" spans="1:13" ht="12.75">
      <c r="A73" s="7"/>
      <c r="B73" s="7"/>
      <c r="C73" s="7"/>
      <c r="D73" s="7"/>
      <c r="E73" s="7"/>
      <c r="F73" s="7"/>
      <c r="G73" s="20"/>
      <c r="H73" s="20"/>
      <c r="I73" s="20"/>
      <c r="J73" s="20"/>
      <c r="K73" s="20"/>
      <c r="L73" s="20"/>
      <c r="M73" s="20"/>
    </row>
    <row r="74" spans="1:14" ht="12.75">
      <c r="A74" s="7"/>
      <c r="B74" s="7"/>
      <c r="C74" s="7"/>
      <c r="D74" s="7"/>
      <c r="E74" s="7"/>
      <c r="F74" s="7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7"/>
      <c r="B75" s="7"/>
      <c r="C75" s="7"/>
      <c r="D75" s="7"/>
      <c r="E75" s="7"/>
      <c r="F75" s="7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</sheetData>
  <sheetProtection/>
  <mergeCells count="89">
    <mergeCell ref="A53:B53"/>
    <mergeCell ref="A57:B57"/>
    <mergeCell ref="C57:D57"/>
    <mergeCell ref="E57:F57"/>
    <mergeCell ref="G57:H57"/>
    <mergeCell ref="A54:B54"/>
    <mergeCell ref="C59:D59"/>
    <mergeCell ref="E59:F59"/>
    <mergeCell ref="G59:H59"/>
    <mergeCell ref="A58:B58"/>
    <mergeCell ref="A59:B59"/>
    <mergeCell ref="C55:D55"/>
    <mergeCell ref="A55:B55"/>
    <mergeCell ref="C58:D58"/>
    <mergeCell ref="E58:F58"/>
    <mergeCell ref="G58:H58"/>
    <mergeCell ref="B71:C71"/>
    <mergeCell ref="B72:C72"/>
    <mergeCell ref="F69:H69"/>
    <mergeCell ref="E53:F53"/>
    <mergeCell ref="E55:F55"/>
    <mergeCell ref="G53:H53"/>
    <mergeCell ref="G54:H54"/>
    <mergeCell ref="G55:H55"/>
    <mergeCell ref="E54:F54"/>
    <mergeCell ref="A60:B60"/>
    <mergeCell ref="C60:D60"/>
    <mergeCell ref="E60:F60"/>
    <mergeCell ref="G60:H60"/>
    <mergeCell ref="E4:F4"/>
    <mergeCell ref="E5:F5"/>
    <mergeCell ref="H5:I5"/>
    <mergeCell ref="H7:I7"/>
    <mergeCell ref="B35:C35"/>
    <mergeCell ref="G47:H49"/>
    <mergeCell ref="A50:B50"/>
    <mergeCell ref="A51:B51"/>
    <mergeCell ref="C51:D51"/>
    <mergeCell ref="E51:F51"/>
    <mergeCell ref="G51:H51"/>
    <mergeCell ref="A56:B56"/>
    <mergeCell ref="C56:D56"/>
    <mergeCell ref="E56:F56"/>
    <mergeCell ref="G56:H56"/>
    <mergeCell ref="C53:D53"/>
    <mergeCell ref="C54:D54"/>
    <mergeCell ref="C50:D50"/>
    <mergeCell ref="E50:F50"/>
    <mergeCell ref="G50:H50"/>
    <mergeCell ref="B29:C29"/>
    <mergeCell ref="B30:C30"/>
    <mergeCell ref="B31:C31"/>
    <mergeCell ref="B32:C32"/>
    <mergeCell ref="B33:C33"/>
    <mergeCell ref="B34:C34"/>
    <mergeCell ref="E19:F19"/>
    <mergeCell ref="E20:F20"/>
    <mergeCell ref="B25:C25"/>
    <mergeCell ref="B27:C27"/>
    <mergeCell ref="B23:C23"/>
    <mergeCell ref="B28:E28"/>
    <mergeCell ref="B14:C14"/>
    <mergeCell ref="B15:C15"/>
    <mergeCell ref="B16:C16"/>
    <mergeCell ref="B17:C17"/>
    <mergeCell ref="B18:C18"/>
    <mergeCell ref="B19:C19"/>
    <mergeCell ref="B6:D6"/>
    <mergeCell ref="E6:F6"/>
    <mergeCell ref="B7:D7"/>
    <mergeCell ref="E7:F7"/>
    <mergeCell ref="B12:C12"/>
    <mergeCell ref="B13:C13"/>
    <mergeCell ref="H8:I8"/>
    <mergeCell ref="B11:C11"/>
    <mergeCell ref="B8:D8"/>
    <mergeCell ref="E8:F8"/>
    <mergeCell ref="B9:D9"/>
    <mergeCell ref="B10:D10"/>
    <mergeCell ref="J33:O34"/>
    <mergeCell ref="A52:B52"/>
    <mergeCell ref="C52:D52"/>
    <mergeCell ref="E52:F52"/>
    <mergeCell ref="G52:H52"/>
    <mergeCell ref="B37:C37"/>
    <mergeCell ref="N46:N47"/>
    <mergeCell ref="A47:B49"/>
    <mergeCell ref="C47:D49"/>
    <mergeCell ref="E47:F49"/>
  </mergeCells>
  <printOptions horizontalCentered="1" verticalCentered="1"/>
  <pageMargins left="0.6692913385826772" right="0" top="0.7086614173228347" bottom="0.7086614173228347" header="0" footer="0"/>
  <pageSetup fitToHeight="1" fitToWidth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Inmuebles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 Martínez Viramontes</dc:creator>
  <cp:keywords/>
  <dc:description/>
  <cp:lastModifiedBy>Usuario de Windows</cp:lastModifiedBy>
  <cp:lastPrinted>2006-02-18T03:03:50Z</cp:lastPrinted>
  <dcterms:created xsi:type="dcterms:W3CDTF">2004-02-26T18:37:55Z</dcterms:created>
  <dcterms:modified xsi:type="dcterms:W3CDTF">2019-06-24T23:25:44Z</dcterms:modified>
  <cp:category/>
  <cp:version/>
  <cp:contentType/>
  <cp:contentStatus/>
</cp:coreProperties>
</file>